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28\"/>
    </mc:Choice>
  </mc:AlternateContent>
  <bookViews>
    <workbookView xWindow="0" yWindow="0" windowWidth="19305" windowHeight="8085"/>
  </bookViews>
  <sheets>
    <sheet name="CT2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2" i="1" l="1"/>
  <c r="Z2" i="1"/>
  <c r="Y22" i="1"/>
  <c r="Y2" i="1"/>
  <c r="W2" i="1"/>
  <c r="U22" i="1"/>
  <c r="U2" i="1"/>
  <c r="P22" i="1"/>
  <c r="P2" i="1"/>
  <c r="N22" i="1"/>
  <c r="N2" i="1"/>
  <c r="L22" i="1"/>
  <c r="L2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F22" i="1"/>
  <c r="H22" i="1" s="1"/>
  <c r="F21" i="1"/>
  <c r="F20" i="1"/>
  <c r="F19" i="1"/>
  <c r="F18" i="1"/>
  <c r="F17" i="1"/>
  <c r="H17" i="1" s="1"/>
  <c r="F16" i="1"/>
  <c r="F15" i="1"/>
  <c r="F14" i="1"/>
  <c r="F13" i="1"/>
  <c r="H13" i="1" s="1"/>
  <c r="F12" i="1"/>
  <c r="F11" i="1"/>
  <c r="F10" i="1"/>
  <c r="F9" i="1"/>
  <c r="H9" i="1" s="1"/>
  <c r="F8" i="1"/>
  <c r="F7" i="1"/>
  <c r="F6" i="1"/>
  <c r="H6" i="1" s="1"/>
  <c r="F5" i="1"/>
  <c r="H5" i="1" s="1"/>
  <c r="F4" i="1"/>
  <c r="F3" i="1"/>
  <c r="F2" i="1"/>
  <c r="H2" i="1" s="1"/>
  <c r="H18" i="1" l="1"/>
  <c r="H14" i="1"/>
  <c r="H3" i="1"/>
  <c r="H7" i="1"/>
  <c r="H11" i="1"/>
  <c r="H15" i="1"/>
  <c r="H19" i="1"/>
  <c r="H4" i="1"/>
  <c r="H8" i="1"/>
  <c r="H12" i="1"/>
  <c r="H16" i="1"/>
  <c r="H20" i="1"/>
  <c r="H21" i="1"/>
  <c r="H10" i="1"/>
  <c r="AA17" i="1"/>
  <c r="AA18" i="1"/>
  <c r="AA19" i="1"/>
  <c r="AA20" i="1"/>
  <c r="AA21" i="1"/>
  <c r="AA16" i="1"/>
  <c r="AA15" i="1"/>
  <c r="AB15" i="1" s="1"/>
  <c r="AA14" i="1"/>
  <c r="AA13" i="1"/>
  <c r="AA12" i="1"/>
  <c r="AB12" i="1" s="1"/>
  <c r="AA11" i="1"/>
  <c r="AB11" i="1" s="1"/>
  <c r="AA10" i="1"/>
  <c r="AA9" i="1"/>
  <c r="AA8" i="1"/>
  <c r="AB8" i="1" s="1"/>
  <c r="AA7" i="1"/>
  <c r="AB7" i="1" s="1"/>
  <c r="AA6" i="1"/>
  <c r="AA5" i="1"/>
  <c r="AA4" i="1"/>
  <c r="AB4" i="1" s="1"/>
  <c r="AA3" i="1"/>
  <c r="AB3" i="1" s="1"/>
  <c r="AA2" i="1"/>
  <c r="AE9" i="1"/>
  <c r="AB17" i="1" s="1"/>
  <c r="AB20" i="1" l="1"/>
  <c r="AB18" i="1"/>
  <c r="AB16" i="1"/>
  <c r="AB19" i="1"/>
  <c r="AB5" i="1"/>
  <c r="AB9" i="1"/>
  <c r="AB13" i="1"/>
  <c r="AB2" i="1"/>
  <c r="AB6" i="1"/>
  <c r="AB10" i="1"/>
  <c r="AB14" i="1"/>
  <c r="AB21" i="1"/>
  <c r="I17" i="1"/>
  <c r="I18" i="1"/>
  <c r="I19" i="1"/>
  <c r="I20" i="1"/>
  <c r="I21" i="1"/>
  <c r="G17" i="1"/>
  <c r="G18" i="1"/>
  <c r="G19" i="1"/>
  <c r="G20" i="1"/>
  <c r="G21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2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22" i="1"/>
  <c r="I2" i="1"/>
  <c r="AE3" i="1" l="1"/>
  <c r="K2" i="1" s="1"/>
  <c r="M2" i="1" l="1"/>
  <c r="K22" i="1"/>
  <c r="K14" i="1"/>
  <c r="L14" i="1" s="1"/>
  <c r="K12" i="1"/>
  <c r="L12" i="1" s="1"/>
  <c r="K15" i="1"/>
  <c r="L15" i="1" s="1"/>
  <c r="K13" i="1"/>
  <c r="L13" i="1" s="1"/>
  <c r="K9" i="1"/>
  <c r="L9" i="1" s="1"/>
  <c r="K17" i="1"/>
  <c r="L17" i="1" s="1"/>
  <c r="K20" i="1"/>
  <c r="L20" i="1" s="1"/>
  <c r="K18" i="1"/>
  <c r="L18" i="1" s="1"/>
  <c r="K19" i="1"/>
  <c r="L19" i="1" s="1"/>
  <c r="K21" i="1"/>
  <c r="L21" i="1" s="1"/>
  <c r="K3" i="1"/>
  <c r="L3" i="1" s="1"/>
  <c r="K16" i="1"/>
  <c r="L16" i="1" s="1"/>
  <c r="K6" i="1"/>
  <c r="L6" i="1" s="1"/>
  <c r="K7" i="1"/>
  <c r="L7" i="1" s="1"/>
  <c r="K4" i="1"/>
  <c r="L4" i="1" s="1"/>
  <c r="K5" i="1"/>
  <c r="L5" i="1" s="1"/>
  <c r="K10" i="1"/>
  <c r="L10" i="1" s="1"/>
  <c r="K11" i="1"/>
  <c r="L11" i="1" s="1"/>
  <c r="K8" i="1"/>
  <c r="L8" i="1" s="1"/>
  <c r="M16" i="1" l="1"/>
  <c r="N16" i="1" s="1"/>
  <c r="M3" i="1"/>
  <c r="N3" i="1" s="1"/>
  <c r="M5" i="1"/>
  <c r="N5" i="1" s="1"/>
  <c r="M18" i="1"/>
  <c r="N18" i="1" s="1"/>
  <c r="M15" i="1"/>
  <c r="N15" i="1" s="1"/>
  <c r="M14" i="1"/>
  <c r="N14" i="1" s="1"/>
  <c r="M8" i="1"/>
  <c r="N8" i="1" s="1"/>
  <c r="M4" i="1"/>
  <c r="N4" i="1" s="1"/>
  <c r="M20" i="1"/>
  <c r="N20" i="1" s="1"/>
  <c r="M22" i="1"/>
  <c r="M11" i="1"/>
  <c r="N11" i="1" s="1"/>
  <c r="M7" i="1"/>
  <c r="N7" i="1" s="1"/>
  <c r="M21" i="1"/>
  <c r="N21" i="1" s="1"/>
  <c r="M17" i="1"/>
  <c r="N17" i="1" s="1"/>
  <c r="O2" i="1"/>
  <c r="X2" i="1"/>
  <c r="AC2" i="1" s="1"/>
  <c r="T2" i="1"/>
  <c r="M10" i="1"/>
  <c r="N10" i="1" s="1"/>
  <c r="M6" i="1"/>
  <c r="N6" i="1" s="1"/>
  <c r="M19" i="1"/>
  <c r="N19" i="1" s="1"/>
  <c r="M9" i="1"/>
  <c r="N9" i="1" s="1"/>
  <c r="M13" i="1"/>
  <c r="N13" i="1" s="1"/>
  <c r="M12" i="1"/>
  <c r="N12" i="1" s="1"/>
  <c r="V2" i="1"/>
  <c r="O6" i="1" l="1"/>
  <c r="T6" i="1"/>
  <c r="U6" i="1" s="1"/>
  <c r="X6" i="1"/>
  <c r="X17" i="1"/>
  <c r="T17" i="1"/>
  <c r="U17" i="1" s="1"/>
  <c r="O17" i="1"/>
  <c r="P17" i="1" s="1"/>
  <c r="O22" i="1"/>
  <c r="Q22" i="1"/>
  <c r="O18" i="1"/>
  <c r="P18" i="1" s="1"/>
  <c r="X18" i="1"/>
  <c r="T18" i="1"/>
  <c r="U18" i="1" s="1"/>
  <c r="O10" i="1"/>
  <c r="P10" i="1" s="1"/>
  <c r="X10" i="1"/>
  <c r="T10" i="1"/>
  <c r="U10" i="1" s="1"/>
  <c r="O12" i="1"/>
  <c r="P12" i="1" s="1"/>
  <c r="X12" i="1"/>
  <c r="T12" i="1"/>
  <c r="U12" i="1" s="1"/>
  <c r="X9" i="1"/>
  <c r="O9" i="1"/>
  <c r="P9" i="1" s="1"/>
  <c r="T9" i="1"/>
  <c r="U9" i="1" s="1"/>
  <c r="X7" i="1"/>
  <c r="T7" i="1"/>
  <c r="U7" i="1" s="1"/>
  <c r="O7" i="1"/>
  <c r="P7" i="1" s="1"/>
  <c r="O4" i="1"/>
  <c r="X4" i="1"/>
  <c r="T4" i="1"/>
  <c r="U4" i="1" s="1"/>
  <c r="O14" i="1"/>
  <c r="P14" i="1" s="1"/>
  <c r="Q14" i="1"/>
  <c r="X14" i="1"/>
  <c r="T14" i="1"/>
  <c r="U14" i="1" s="1"/>
  <c r="X3" i="1"/>
  <c r="T3" i="1"/>
  <c r="O3" i="1"/>
  <c r="P3" i="1" s="1"/>
  <c r="T13" i="1"/>
  <c r="U13" i="1" s="1"/>
  <c r="O13" i="1"/>
  <c r="P13" i="1" s="1"/>
  <c r="X13" i="1"/>
  <c r="X19" i="1"/>
  <c r="T19" i="1"/>
  <c r="U19" i="1" s="1"/>
  <c r="O19" i="1"/>
  <c r="P19" i="1" s="1"/>
  <c r="X21" i="1"/>
  <c r="T21" i="1"/>
  <c r="U21" i="1" s="1"/>
  <c r="O21" i="1"/>
  <c r="P21" i="1" s="1"/>
  <c r="X11" i="1"/>
  <c r="T11" i="1"/>
  <c r="U11" i="1" s="1"/>
  <c r="O11" i="1"/>
  <c r="P11" i="1" s="1"/>
  <c r="O20" i="1"/>
  <c r="P20" i="1" s="1"/>
  <c r="X20" i="1"/>
  <c r="T20" i="1"/>
  <c r="U20" i="1" s="1"/>
  <c r="X8" i="1"/>
  <c r="T8" i="1"/>
  <c r="U8" i="1" s="1"/>
  <c r="O8" i="1"/>
  <c r="P8" i="1" s="1"/>
  <c r="X15" i="1"/>
  <c r="T15" i="1"/>
  <c r="U15" i="1" s="1"/>
  <c r="O15" i="1"/>
  <c r="P15" i="1" s="1"/>
  <c r="T5" i="1"/>
  <c r="U5" i="1" s="1"/>
  <c r="X5" i="1"/>
  <c r="O5" i="1"/>
  <c r="P5" i="1" s="1"/>
  <c r="X16" i="1"/>
  <c r="T16" i="1"/>
  <c r="U16" i="1" s="1"/>
  <c r="O16" i="1"/>
  <c r="P16" i="1" s="1"/>
  <c r="Q2" i="1"/>
  <c r="AC16" i="1" l="1"/>
  <c r="Y16" i="1"/>
  <c r="Z16" i="1" s="1"/>
  <c r="AC9" i="1"/>
  <c r="Y9" i="1"/>
  <c r="Z9" i="1" s="1"/>
  <c r="AC8" i="1"/>
  <c r="Y8" i="1"/>
  <c r="Z8" i="1" s="1"/>
  <c r="AC13" i="1"/>
  <c r="Y13" i="1"/>
  <c r="Z13" i="1" s="1"/>
  <c r="AC17" i="1"/>
  <c r="Y17" i="1"/>
  <c r="Z17" i="1" s="1"/>
  <c r="AC18" i="1"/>
  <c r="Y18" i="1"/>
  <c r="Z18" i="1" s="1"/>
  <c r="AC19" i="1"/>
  <c r="Y19" i="1"/>
  <c r="Z19" i="1" s="1"/>
  <c r="AC14" i="1"/>
  <c r="Y14" i="1"/>
  <c r="Z14" i="1" s="1"/>
  <c r="AC7" i="1"/>
  <c r="AC23" i="1" s="1"/>
  <c r="Y7" i="1"/>
  <c r="Z7" i="1" s="1"/>
  <c r="AC10" i="1"/>
  <c r="Y10" i="1"/>
  <c r="Z10" i="1" s="1"/>
  <c r="Q6" i="1"/>
  <c r="P6" i="1"/>
  <c r="AC5" i="1"/>
  <c r="Y5" i="1"/>
  <c r="Z5" i="1" s="1"/>
  <c r="AC15" i="1"/>
  <c r="Y15" i="1"/>
  <c r="Z15" i="1" s="1"/>
  <c r="AC21" i="1"/>
  <c r="Y21" i="1"/>
  <c r="Z21" i="1" s="1"/>
  <c r="AC12" i="1"/>
  <c r="Y12" i="1"/>
  <c r="Z12" i="1" s="1"/>
  <c r="AC20" i="1"/>
  <c r="Y20" i="1"/>
  <c r="Z20" i="1" s="1"/>
  <c r="AC11" i="1"/>
  <c r="Y11" i="1"/>
  <c r="Z11" i="1" s="1"/>
  <c r="AC6" i="1"/>
  <c r="Y6" i="1"/>
  <c r="Z6" i="1" s="1"/>
  <c r="Q4" i="1"/>
  <c r="P4" i="1"/>
  <c r="AC4" i="1"/>
  <c r="Y4" i="1"/>
  <c r="Z4" i="1" s="1"/>
  <c r="V3" i="1"/>
  <c r="U3" i="1"/>
  <c r="AC3" i="1"/>
  <c r="X24" i="1"/>
  <c r="Y3" i="1"/>
  <c r="Z3" i="1" s="1"/>
  <c r="V18" i="1"/>
  <c r="V16" i="1"/>
  <c r="V10" i="1"/>
  <c r="V20" i="1"/>
  <c r="Q10" i="1"/>
  <c r="V5" i="1"/>
  <c r="Q13" i="1"/>
  <c r="Q12" i="1"/>
  <c r="V17" i="1"/>
  <c r="Q21" i="1"/>
  <c r="Q17" i="1"/>
  <c r="V9" i="1"/>
  <c r="V8" i="1"/>
  <c r="V12" i="1"/>
  <c r="Q18" i="1"/>
  <c r="V4" i="1"/>
  <c r="Q16" i="1"/>
  <c r="Q5" i="1"/>
  <c r="Q8" i="1"/>
  <c r="Q11" i="1"/>
  <c r="Q9" i="1"/>
  <c r="Q20" i="1"/>
  <c r="Q3" i="1"/>
  <c r="Q7" i="1"/>
  <c r="V6" i="1"/>
  <c r="V14" i="1"/>
  <c r="V7" i="1"/>
  <c r="V11" i="1"/>
  <c r="Q15" i="1"/>
  <c r="Q19" i="1"/>
  <c r="V13" i="1"/>
  <c r="V21" i="1"/>
  <c r="V15" i="1"/>
  <c r="V19" i="1"/>
  <c r="Y24" i="1" l="1"/>
  <c r="W21" i="1"/>
  <c r="W17" i="1"/>
  <c r="W13" i="1"/>
  <c r="W9" i="1"/>
  <c r="W5" i="1"/>
  <c r="W19" i="1"/>
  <c r="W11" i="1"/>
  <c r="W14" i="1"/>
  <c r="W10" i="1"/>
  <c r="W20" i="1"/>
  <c r="W16" i="1"/>
  <c r="W12" i="1"/>
  <c r="W8" i="1"/>
  <c r="W4" i="1"/>
  <c r="W15" i="1"/>
  <c r="W7" i="1"/>
  <c r="W3" i="1"/>
  <c r="W18" i="1"/>
  <c r="W6" i="1"/>
</calcChain>
</file>

<file path=xl/sharedStrings.xml><?xml version="1.0" encoding="utf-8"?>
<sst xmlns="http://schemas.openxmlformats.org/spreadsheetml/2006/main" count="55" uniqueCount="55">
  <si>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</si>
  <si>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</si>
  <si>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</si>
  <si>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</si>
  <si>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</si>
  <si>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</si>
  <si>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</si>
  <si>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</si>
  <si>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</si>
  <si>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</si>
  <si>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</si>
  <si>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Blk</t>
  </si>
  <si>
    <t>Weight Corrected Sr-90 Activity (DPM)</t>
  </si>
  <si>
    <t>Cumulative Activity (DPM)</t>
  </si>
  <si>
    <t>CT28 1 mL</t>
  </si>
  <si>
    <t>CT28 2 mL</t>
  </si>
  <si>
    <t>CT28 3 mL</t>
  </si>
  <si>
    <t>CT28 4 mL</t>
  </si>
  <si>
    <t>CT28 5 mL</t>
  </si>
  <si>
    <t>CT28 6 mL</t>
  </si>
  <si>
    <t>CT28 7 mL</t>
  </si>
  <si>
    <t>CT28 8 mL</t>
  </si>
  <si>
    <t>CT28 9 mL</t>
  </si>
  <si>
    <t>CT28 10 mL</t>
  </si>
  <si>
    <t>CT28 11 mL</t>
  </si>
  <si>
    <t>CT28 12 mL</t>
  </si>
  <si>
    <t>CT28 13 mL</t>
  </si>
  <si>
    <t>CT28 14 mL</t>
  </si>
  <si>
    <t>CT28 15 mL</t>
  </si>
  <si>
    <t>CT28 16 mL</t>
  </si>
  <si>
    <t>CT28 17 mL</t>
  </si>
  <si>
    <t>CT28 18 mL</t>
  </si>
  <si>
    <t>CT28 19 mL</t>
  </si>
  <si>
    <t>CT28 20 mL</t>
  </si>
  <si>
    <t>4 ml/min</t>
  </si>
  <si>
    <t>Decay constant of sr-90=</t>
  </si>
  <si>
    <t>DC factor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</si>
  <si>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</si>
  <si>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</si>
  <si>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</si>
  <si>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</si>
  <si>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</si>
  <si>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</si>
  <si>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</si>
  <si>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</t>
  </si>
  <si>
    <t>Weight of Eluate (g) σ</t>
  </si>
  <si>
    <t>Weight Corrected Sr-90 Activity (DPM) σ</t>
  </si>
  <si>
    <t>Cumulative Activity (DPM) σ</t>
  </si>
  <si>
    <t>Activity (bq)</t>
  </si>
  <si>
    <t>Activity (Bq) σ</t>
  </si>
  <si>
    <t>Activity (Bq) σ ^2</t>
  </si>
  <si>
    <t>Time from 05.06.2018</t>
  </si>
  <si>
    <t>DC to 05.06.2018</t>
  </si>
  <si>
    <t>σ</t>
  </si>
  <si>
    <t>Sr-90 activity recovered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</si>
</sst>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2" fontId="0" fillId="0" borderId="0" xfId="0" applyNumberFormat="1"/>
    <xf numFmtId="0" fontId="0" fillId="2" borderId="0" xfId="0" applyFill="1"/>
    <xf numFmtId="0" fontId="0" fillId="3" borderId="2" xfId="0" applyFill="1" applyBorder="1"/>
    <xf numFmtId="0" fontId="0" fillId="3" borderId="3" xfId="0" applyNumberFormat="1" applyFill="1" applyBorder="1"/>
    <xf numFmtId="0" fontId="0" fillId="3" borderId="3" xfId="0" applyFill="1" applyBorder="1"/>
    <xf numFmtId="0" fontId="0" fillId="3" borderId="1" xfId="0" applyNumberFormat="1" applyFill="1" applyBorder="1"/>
    <xf numFmtId="0" fontId="0" fillId="3" borderId="1" xfId="0" applyFill="1" applyBorder="1"/>
    <xf numFmtId="0" fontId="0" fillId="0" borderId="2" xfId="0" applyBorder="1"/>
    <xf numFmtId="0" fontId="0" fillId="0" borderId="4" xfId="0" applyBorder="1"/>
    <xf numFmtId="166" fontId="0" fillId="3" borderId="3" xfId="0" applyNumberFormat="1" applyFill="1" applyBorder="1"/>
    <xf numFmtId="166" fontId="0" fillId="3" borderId="1" xfId="0" applyNumberFormat="1" applyFill="1" applyBorder="1"/>
    <xf numFmtId="0" fontId="0" fillId="0" borderId="1" xfId="0" applyBorder="1"/>
    <xf numFmtId="0" fontId="1" fillId="0" borderId="0" xfId="0" applyFont="1"/>
    <xf numFmtId="0" fontId="0" fillId="3" borderId="0" xfId="0" applyFill="1"/>
    <xf numFmtId="22" fontId="0" fillId="0" borderId="1" xfId="0" applyNumberFormat="1" applyBorder="1"/>
    <xf numFmtId="2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3" xfId="0" applyBorder="1"/>
    <xf numFmtId="22" fontId="0" fillId="0" borderId="3" xfId="0" applyNumberFormat="1" applyBorder="1"/>
    <xf numFmtId="2" fontId="0" fillId="0" borderId="3" xfId="0" applyNumberFormat="1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zoomScale="90" zoomScaleNormal="90" workbookViewId="0">
      <selection activeCell="C27" sqref="C27"/>
    </sheetView>
  </sheetViews>
  <sheetFormatPr defaultRowHeight="15" x14ac:dyDescent="0.25"/>
  <cols>
    <col min="1" max="1" width="13.5703125" bestFit="1" customWidth="1"/>
    <col min="2" max="2" width="20.5703125" customWidth="1"/>
    <col min="3" max="3" width="17.140625" bestFit="1" customWidth="1"/>
    <col min="4" max="4" width="17.5703125" bestFit="1" customWidth="1"/>
    <col min="5" max="6" width="17.5703125" customWidth="1"/>
    <col min="7" max="7" width="31.5703125" bestFit="1" customWidth="1"/>
    <col min="8" max="8" width="31.5703125" customWidth="1"/>
    <col min="9" max="9" width="17.7109375" bestFit="1" customWidth="1"/>
    <col min="10" max="10" width="19.28515625" bestFit="1" customWidth="1"/>
    <col min="11" max="12" width="17.7109375" customWidth="1"/>
    <col min="13" max="13" width="12.140625" bestFit="1" customWidth="1"/>
    <col min="14" max="14" width="12.140625" customWidth="1"/>
    <col min="15" max="15" width="12.140625" bestFit="1" customWidth="1"/>
    <col min="16" max="16" width="12.140625" customWidth="1"/>
    <col min="17" max="17" width="12" bestFit="1" customWidth="1"/>
    <col min="18" max="18" width="19" bestFit="1" customWidth="1"/>
    <col min="19" max="19" width="19" customWidth="1"/>
    <col min="20" max="20" width="35.42578125" bestFit="1" customWidth="1"/>
    <col min="21" max="21" width="35.42578125" customWidth="1"/>
    <col min="22" max="22" width="24.7109375" bestFit="1" customWidth="1"/>
    <col min="23" max="30" width="24.7109375" customWidth="1"/>
    <col min="31" max="31" width="22.140625" bestFit="1" customWidth="1"/>
  </cols>
  <sheetData>
    <row r="1" spans="1:31" ht="15.75" thickBot="1" x14ac:dyDescent="0.3">
      <c r="A1" s="27" t="s">
        <v>3</v>
      </c>
      <c r="B1" s="24" t="s">
        <v>5</v>
      </c>
      <c r="C1" s="8" t="s">
        <v>4</v>
      </c>
      <c r="D1" s="8" t="s">
        <v>0</v>
      </c>
      <c r="E1" s="3" t="s">
        <v>37</v>
      </c>
      <c r="F1" s="3" t="s">
        <v>38</v>
      </c>
      <c r="G1" s="8" t="s">
        <v>10</v>
      </c>
      <c r="H1" s="3" t="s">
        <v>39</v>
      </c>
      <c r="I1" s="8" t="s">
        <v>1</v>
      </c>
      <c r="J1" s="3" t="s">
        <v>40</v>
      </c>
      <c r="K1" s="8" t="s">
        <v>6</v>
      </c>
      <c r="L1" s="3" t="s">
        <v>41</v>
      </c>
      <c r="M1" s="8" t="s">
        <v>7</v>
      </c>
      <c r="N1" s="3" t="s">
        <v>42</v>
      </c>
      <c r="O1" s="8" t="s">
        <v>8</v>
      </c>
      <c r="P1" s="3" t="s">
        <v>43</v>
      </c>
      <c r="Q1" s="8" t="s">
        <v>9</v>
      </c>
      <c r="R1" s="8" t="s">
        <v>44</v>
      </c>
      <c r="S1" s="3" t="s">
        <v>45</v>
      </c>
      <c r="T1" s="8" t="s">
        <v>12</v>
      </c>
      <c r="U1" s="3" t="s">
        <v>46</v>
      </c>
      <c r="V1" s="8" t="s">
        <v>13</v>
      </c>
      <c r="W1" s="3" t="s">
        <v>47</v>
      </c>
      <c r="X1" s="8" t="s">
        <v>48</v>
      </c>
      <c r="Y1" s="3" t="s">
        <v>49</v>
      </c>
      <c r="Z1" s="3" t="s">
        <v>50</v>
      </c>
      <c r="AA1" s="8" t="s">
        <v>51</v>
      </c>
      <c r="AB1" s="8" t="s">
        <v>36</v>
      </c>
      <c r="AC1" s="9" t="s">
        <v>52</v>
      </c>
    </row>
    <row r="2" spans="1:31" x14ac:dyDescent="0.25">
      <c r="A2" s="28" t="s">
        <v>14</v>
      </c>
      <c r="B2" s="25">
        <v>43327.631944444445</v>
      </c>
      <c r="C2" s="20">
        <v>43331.6875</v>
      </c>
      <c r="D2" s="21">
        <v>8.35</v>
      </c>
      <c r="E2" s="4">
        <v>6.39</v>
      </c>
      <c r="F2" s="5">
        <f>D2*(E2/100)</f>
        <v>0.53356499999999996</v>
      </c>
      <c r="G2" s="19">
        <f t="shared" ref="G2:G22" si="0">D2-$D$22</f>
        <v>0.97999999999999954</v>
      </c>
      <c r="H2" s="5">
        <f>SQRT((F2^2)+(F$17^2))</f>
        <v>0.86069898270243128</v>
      </c>
      <c r="I2" s="22">
        <f>(C2-B2)*24</f>
        <v>97.333333333313931</v>
      </c>
      <c r="J2" s="10">
        <f>1/60</f>
        <v>1.6666666666666666E-2</v>
      </c>
      <c r="K2" s="19">
        <f>1-EXP(-$AE$3*I2)</f>
        <v>0.66672926149596035</v>
      </c>
      <c r="L2" s="5">
        <f>K2*SQRT(((J2/I2)^2))</f>
        <v>1.1416596943426254E-4</v>
      </c>
      <c r="M2" s="19">
        <f>G2/((1+K2))</f>
        <v>0.58797791737357985</v>
      </c>
      <c r="N2" s="5">
        <f t="shared" ref="N2:N22" si="1">M2*SQRT(((H2/G2)^2)+((L2/K2)^2))</f>
        <v>0.51640000505449879</v>
      </c>
      <c r="O2" s="19">
        <f>M2*K2</f>
        <v>0.39202208262641969</v>
      </c>
      <c r="P2" s="5">
        <f t="shared" ref="P2:P22" si="2">O2*SQRT(((N2/M2)^2)+((L2/K2)^2))</f>
        <v>0.34429900055029011</v>
      </c>
      <c r="Q2" s="19">
        <f>M2+O2</f>
        <v>0.97999999999999954</v>
      </c>
      <c r="R2" s="19">
        <v>0.90749999999999975</v>
      </c>
      <c r="S2" s="5">
        <v>1.4142135623730951E-4</v>
      </c>
      <c r="T2" s="19">
        <f>M2/R2</f>
        <v>0.64790955082488155</v>
      </c>
      <c r="U2" s="5">
        <f>T2*SQRT(((S2/R2)^2)+((N2/M2)^2))</f>
        <v>0.56903582719955914</v>
      </c>
      <c r="V2" s="19">
        <f>SUM($T$2:T2)</f>
        <v>0.64790955082488155</v>
      </c>
      <c r="W2" s="5">
        <f>SQRT((U2^2))</f>
        <v>0.56903582719955914</v>
      </c>
      <c r="X2" s="19">
        <f>M2/60</f>
        <v>9.7996319562263304E-3</v>
      </c>
      <c r="Y2" s="5">
        <f>X2*SQRT(((N2/M2)^2))</f>
        <v>8.6066667509083136E-3</v>
      </c>
      <c r="Z2" s="5">
        <f>Y2^2</f>
        <v>7.4074712561190671E-5</v>
      </c>
      <c r="AA2" s="19">
        <f>(C2-$AE$6)*24</f>
        <v>124.5</v>
      </c>
      <c r="AB2" s="23">
        <f>EXP(-$AE$9*AA2)</f>
        <v>0.99965800170259778</v>
      </c>
      <c r="AC2" s="19">
        <f>X2/AB2</f>
        <v>9.8029845602553983E-3</v>
      </c>
      <c r="AE2" t="s">
        <v>2</v>
      </c>
    </row>
    <row r="3" spans="1:31" x14ac:dyDescent="0.25">
      <c r="A3" s="29" t="s">
        <v>15</v>
      </c>
      <c r="B3" s="26">
        <v>43327.632118055553</v>
      </c>
      <c r="C3" s="15">
        <v>43331.710416666669</v>
      </c>
      <c r="D3" s="16">
        <v>8.32</v>
      </c>
      <c r="E3" s="6">
        <v>6.4</v>
      </c>
      <c r="F3" s="7">
        <f t="shared" ref="F3:F22" si="3">D3*(E3/100)</f>
        <v>0.53248000000000006</v>
      </c>
      <c r="G3" s="12">
        <f t="shared" si="0"/>
        <v>0.95000000000000018</v>
      </c>
      <c r="H3" s="7">
        <f>SQRT((F3^2)+(F$17^2))</f>
        <v>0.86002679028039597</v>
      </c>
      <c r="I3" s="17">
        <f t="shared" ref="I3:I21" si="4">(C3-B3)*24</f>
        <v>97.87916666676756</v>
      </c>
      <c r="J3" s="11">
        <f t="shared" ref="J3:J22" si="5">1/60</f>
        <v>1.6666666666666666E-2</v>
      </c>
      <c r="K3" s="12">
        <f>1-EXP(-$AE$3*I3)</f>
        <v>0.66877654019391386</v>
      </c>
      <c r="L3" s="7">
        <f t="shared" ref="L3:L22" si="6">K3*SQRT(((J3/I3)^2))</f>
        <v>1.1387791753322115E-4</v>
      </c>
      <c r="M3" s="12">
        <f>G3/((1+K3))</f>
        <v>0.56927933556017574</v>
      </c>
      <c r="N3" s="7">
        <f t="shared" si="1"/>
        <v>0.51536367199512345</v>
      </c>
      <c r="O3" s="12">
        <f>M3*K3</f>
        <v>0.38072066443982444</v>
      </c>
      <c r="P3" s="7">
        <f t="shared" si="2"/>
        <v>0.34466313959537315</v>
      </c>
      <c r="Q3" s="12">
        <f t="shared" ref="Q3:Q22" si="7">M3+O3</f>
        <v>0.95000000000000018</v>
      </c>
      <c r="R3" s="12">
        <v>1.0374000000000008</v>
      </c>
      <c r="S3" s="7">
        <v>1.4142135623730951E-4</v>
      </c>
      <c r="T3" s="12">
        <f>M3/R3</f>
        <v>0.54875586616558258</v>
      </c>
      <c r="U3" s="7">
        <f t="shared" ref="U3:U22" si="8">T3*SQRT(((S3/R3)^2)+((N3/M3)^2))</f>
        <v>0.4967839578159241</v>
      </c>
      <c r="V3" s="12">
        <f>SUM($T$2:T3)</f>
        <v>1.1966654169904642</v>
      </c>
      <c r="W3" s="7">
        <f>SQRT((U3^2)+(U2^2))</f>
        <v>0.75537809961630509</v>
      </c>
      <c r="X3" s="12">
        <f t="shared" ref="X3:X21" si="9">M3/60</f>
        <v>9.4879889260029281E-3</v>
      </c>
      <c r="Y3" s="7">
        <f t="shared" ref="Y3:Y16" si="10">X3*SQRT(((N3/M3)^2))</f>
        <v>8.5893945332520573E-3</v>
      </c>
      <c r="Z3" s="7">
        <f t="shared" ref="Z3:Z16" si="11">Y3^2</f>
        <v>7.377769844786032E-5</v>
      </c>
      <c r="AA3" s="12">
        <f>(C3-$AE$6)*24</f>
        <v>125.05000000004657</v>
      </c>
      <c r="AB3" s="18">
        <f t="shared" ref="AB3:AB21" si="12">EXP(-$AE$9*AA3)</f>
        <v>0.99965649112626809</v>
      </c>
      <c r="AC3" s="12">
        <f t="shared" ref="AC3:AC21" si="13">X3/AB3</f>
        <v>9.4912492543445977E-3</v>
      </c>
      <c r="AE3">
        <f>LN(2)/61.4</f>
        <v>1.1289042028663604E-2</v>
      </c>
    </row>
    <row r="4" spans="1:31" x14ac:dyDescent="0.25">
      <c r="A4" s="29" t="s">
        <v>16</v>
      </c>
      <c r="B4" s="26">
        <v>43327.632291666669</v>
      </c>
      <c r="C4" s="15">
        <v>43331.73333333333</v>
      </c>
      <c r="D4" s="16">
        <v>8.56</v>
      </c>
      <c r="E4" s="6">
        <v>6.31</v>
      </c>
      <c r="F4" s="7">
        <f t="shared" si="3"/>
        <v>0.54013599999999995</v>
      </c>
      <c r="G4" s="12">
        <f t="shared" si="0"/>
        <v>1.1900000000000004</v>
      </c>
      <c r="H4" s="7">
        <f t="shared" ref="H4:H17" si="14">SQRT((F4^2)+(F$17^2))</f>
        <v>0.86478785149653903</v>
      </c>
      <c r="I4" s="17">
        <f t="shared" si="4"/>
        <v>98.424999999871943</v>
      </c>
      <c r="J4" s="11">
        <f t="shared" si="5"/>
        <v>1.6666666666666666E-2</v>
      </c>
      <c r="K4" s="12">
        <f>1-EXP(-$AE$3*I4)</f>
        <v>0.67081124247871338</v>
      </c>
      <c r="L4" s="7">
        <f t="shared" si="6"/>
        <v>1.1359093090840506E-4</v>
      </c>
      <c r="M4" s="12">
        <f>G4/((1+K4))</f>
        <v>0.71222886807643759</v>
      </c>
      <c r="N4" s="7">
        <f t="shared" si="1"/>
        <v>0.51758562127610874</v>
      </c>
      <c r="O4" s="12">
        <f>M4*K4</f>
        <v>0.47777113192356274</v>
      </c>
      <c r="P4" s="7">
        <f t="shared" si="2"/>
        <v>0.34720226312305008</v>
      </c>
      <c r="Q4" s="12">
        <f t="shared" si="7"/>
        <v>1.1900000000000004</v>
      </c>
      <c r="R4" s="12">
        <v>1.0361000000000002</v>
      </c>
      <c r="S4" s="7">
        <v>1.4142135623730951E-4</v>
      </c>
      <c r="T4" s="12">
        <f>M4/R4</f>
        <v>0.68741324976009788</v>
      </c>
      <c r="U4" s="7">
        <f t="shared" si="8"/>
        <v>0.49955181006249139</v>
      </c>
      <c r="V4" s="12">
        <f>SUM($T$2:T4)</f>
        <v>1.884078666750562</v>
      </c>
      <c r="W4" s="7">
        <f>SQRT((U4^2)+(U3^2)+(U2^2))</f>
        <v>0.90562027600791484</v>
      </c>
      <c r="X4" s="12">
        <f t="shared" si="9"/>
        <v>1.1870481134607293E-2</v>
      </c>
      <c r="Y4" s="7">
        <f t="shared" si="10"/>
        <v>8.626427021268479E-3</v>
      </c>
      <c r="Z4" s="7">
        <f t="shared" si="11"/>
        <v>7.4415243153270967E-5</v>
      </c>
      <c r="AA4" s="12">
        <f>(C4-$AE$6)*24</f>
        <v>125.59999999991851</v>
      </c>
      <c r="AB4" s="18">
        <f t="shared" si="12"/>
        <v>0.99965498055222146</v>
      </c>
      <c r="AC4" s="12">
        <f t="shared" si="13"/>
        <v>1.1874578094984227E-2</v>
      </c>
    </row>
    <row r="5" spans="1:31" x14ac:dyDescent="0.25">
      <c r="A5" s="29" t="s">
        <v>17</v>
      </c>
      <c r="B5" s="25">
        <v>43327.632465104165</v>
      </c>
      <c r="C5" s="15">
        <v>43331.756249999999</v>
      </c>
      <c r="D5" s="16">
        <v>11.36</v>
      </c>
      <c r="E5" s="6">
        <v>5.48</v>
      </c>
      <c r="F5" s="7">
        <f t="shared" si="3"/>
        <v>0.62252799999999997</v>
      </c>
      <c r="G5" s="12">
        <f t="shared" si="0"/>
        <v>3.9899999999999993</v>
      </c>
      <c r="H5" s="7">
        <f t="shared" si="14"/>
        <v>0.91850543840741639</v>
      </c>
      <c r="I5" s="17">
        <f t="shared" si="4"/>
        <v>98.970837500004563</v>
      </c>
      <c r="J5" s="11">
        <f t="shared" si="5"/>
        <v>1.6666666666666666E-2</v>
      </c>
      <c r="K5" s="12">
        <f>1-EXP(-$AE$3*I5)</f>
        <v>0.67283346099892938</v>
      </c>
      <c r="L5" s="7">
        <f t="shared" si="6"/>
        <v>1.1330500276557027E-4</v>
      </c>
      <c r="M5" s="12">
        <f>G5/((1+K5))</f>
        <v>2.3851746710143984</v>
      </c>
      <c r="N5" s="7">
        <f t="shared" si="1"/>
        <v>0.54907180277361467</v>
      </c>
      <c r="O5" s="12">
        <f>M5*K5</f>
        <v>1.6048253289856005</v>
      </c>
      <c r="P5" s="7">
        <f t="shared" si="2"/>
        <v>0.36943398024597718</v>
      </c>
      <c r="Q5" s="12">
        <f t="shared" si="7"/>
        <v>3.9899999999999989</v>
      </c>
      <c r="R5" s="12">
        <v>0.85539999999999949</v>
      </c>
      <c r="S5" s="7">
        <v>1.4142135623730951E-4</v>
      </c>
      <c r="T5" s="12">
        <f>M5/R5</f>
        <v>2.7883734755838203</v>
      </c>
      <c r="U5" s="7">
        <f t="shared" si="8"/>
        <v>0.64188910962905232</v>
      </c>
      <c r="V5" s="12">
        <f>SUM($T$2:T5)</f>
        <v>4.6724521423343823</v>
      </c>
      <c r="W5" s="7">
        <f>SQRT((U5^2)+(U4^2)+(U3^2)+(U2^2))</f>
        <v>1.1100314019779032</v>
      </c>
      <c r="X5" s="12">
        <f t="shared" si="9"/>
        <v>3.9752911183573304E-2</v>
      </c>
      <c r="Y5" s="7">
        <f t="shared" si="10"/>
        <v>9.1511967128935778E-3</v>
      </c>
      <c r="Z5" s="7">
        <f t="shared" si="11"/>
        <v>8.3744401278074222E-5</v>
      </c>
      <c r="AA5" s="12">
        <f>(C5-$AE$6)*24</f>
        <v>126.14999999996508</v>
      </c>
      <c r="AB5" s="18">
        <f t="shared" si="12"/>
        <v>0.99965346998045701</v>
      </c>
      <c r="AC5" s="12">
        <f t="shared" si="13"/>
        <v>3.9766691535968422E-2</v>
      </c>
    </row>
    <row r="6" spans="1:31" x14ac:dyDescent="0.25">
      <c r="A6" s="29" t="s">
        <v>18</v>
      </c>
      <c r="B6" s="26">
        <v>43327.632638657407</v>
      </c>
      <c r="C6" s="15">
        <v>43331.77847222222</v>
      </c>
      <c r="D6" s="16">
        <v>60.25</v>
      </c>
      <c r="E6" s="6">
        <v>2.38</v>
      </c>
      <c r="F6" s="7">
        <f t="shared" si="3"/>
        <v>1.4339499999999998</v>
      </c>
      <c r="G6" s="12">
        <f t="shared" si="0"/>
        <v>52.88</v>
      </c>
      <c r="H6" s="7">
        <f t="shared" si="14"/>
        <v>1.5850311454668642</v>
      </c>
      <c r="I6" s="17">
        <f t="shared" si="4"/>
        <v>99.500005555513781</v>
      </c>
      <c r="J6" s="11">
        <f t="shared" si="5"/>
        <v>1.6666666666666666E-2</v>
      </c>
      <c r="K6" s="12">
        <f>1-EXP(-$AE$3*I6)</f>
        <v>0.67478206253346251</v>
      </c>
      <c r="L6" s="7">
        <f t="shared" si="6"/>
        <v>1.1302881488399903E-4</v>
      </c>
      <c r="M6" s="12">
        <f>G6/((1+K6))</f>
        <v>31.574257440999702</v>
      </c>
      <c r="N6" s="7">
        <f t="shared" si="1"/>
        <v>0.94642516792509335</v>
      </c>
      <c r="O6" s="12">
        <f>M6*K6</f>
        <v>21.305742559000304</v>
      </c>
      <c r="P6" s="7">
        <f t="shared" si="2"/>
        <v>0.63864069836787196</v>
      </c>
      <c r="Q6" s="12">
        <f t="shared" si="7"/>
        <v>52.88000000000001</v>
      </c>
      <c r="R6" s="12">
        <v>0.81990000000000052</v>
      </c>
      <c r="S6" s="7">
        <v>1.4142135623730951E-4</v>
      </c>
      <c r="T6" s="12">
        <f>M6/R6</f>
        <v>38.509888329064133</v>
      </c>
      <c r="U6" s="7">
        <f t="shared" si="8"/>
        <v>1.1543369159741306</v>
      </c>
      <c r="V6" s="12">
        <f>SUM($T$2:T6)</f>
        <v>43.182340471398518</v>
      </c>
      <c r="W6" s="7">
        <f>SQRT((U6^2)+(U5^2)+(U4^2)+(U3^2)+(U2^2))</f>
        <v>1.6014566584699372</v>
      </c>
      <c r="X6" s="12">
        <f t="shared" si="9"/>
        <v>0.52623762401666174</v>
      </c>
      <c r="Y6" s="7">
        <f t="shared" si="10"/>
        <v>1.5773752798751556E-2</v>
      </c>
      <c r="Z6" s="7">
        <f t="shared" si="11"/>
        <v>2.4881127735612254E-4</v>
      </c>
      <c r="AA6" s="12">
        <f>(C6-$AE$6)*24</f>
        <v>126.68333333329065</v>
      </c>
      <c r="AB6" s="18">
        <f t="shared" si="12"/>
        <v>0.99965200518577457</v>
      </c>
      <c r="AC6" s="12">
        <f t="shared" si="13"/>
        <v>0.52642081573063637</v>
      </c>
      <c r="AE6" s="1">
        <v>43326.5</v>
      </c>
    </row>
    <row r="7" spans="1:31" x14ac:dyDescent="0.25">
      <c r="A7" s="29" t="s">
        <v>19</v>
      </c>
      <c r="B7" s="26">
        <v>43327.63281221065</v>
      </c>
      <c r="C7" s="15">
        <v>43331.801388888889</v>
      </c>
      <c r="D7" s="16">
        <v>158.28</v>
      </c>
      <c r="E7" s="6">
        <v>1.47</v>
      </c>
      <c r="F7" s="7">
        <f t="shared" si="3"/>
        <v>2.3267159999999998</v>
      </c>
      <c r="G7" s="12">
        <f t="shared" si="0"/>
        <v>150.91</v>
      </c>
      <c r="H7" s="7">
        <f t="shared" si="14"/>
        <v>2.4227501881655069</v>
      </c>
      <c r="I7" s="17">
        <f t="shared" si="4"/>
        <v>100.04584027774399</v>
      </c>
      <c r="J7" s="11">
        <f t="shared" si="5"/>
        <v>1.6666666666666666E-2</v>
      </c>
      <c r="K7" s="12">
        <f>1-EXP(-$AE$3*I7)</f>
        <v>0.67677987802540429</v>
      </c>
      <c r="L7" s="7">
        <f t="shared" si="6"/>
        <v>1.127449637330498E-4</v>
      </c>
      <c r="M7" s="12">
        <f>G7/((1+K7))</f>
        <v>89.999887270661546</v>
      </c>
      <c r="N7" s="7">
        <f t="shared" si="1"/>
        <v>1.4449604579677451</v>
      </c>
      <c r="O7" s="12">
        <f>M7*K7</f>
        <v>60.910112729338458</v>
      </c>
      <c r="P7" s="7">
        <f t="shared" si="2"/>
        <v>0.97797280458797342</v>
      </c>
      <c r="Q7" s="12">
        <f t="shared" si="7"/>
        <v>150.91</v>
      </c>
      <c r="R7" s="12">
        <v>0.72229999999999972</v>
      </c>
      <c r="S7" s="7">
        <v>1.4142135623730951E-4</v>
      </c>
      <c r="T7" s="12">
        <f>M7/R7</f>
        <v>124.60180987216057</v>
      </c>
      <c r="U7" s="7">
        <f t="shared" si="8"/>
        <v>2.000647792590823</v>
      </c>
      <c r="V7" s="12">
        <f>SUM($T$2:T7)</f>
        <v>167.78415034355908</v>
      </c>
      <c r="W7" s="7">
        <f>SQRT((U7^2)+(U6^2)+(U5^2)+(U4^2)+(U3^2)+(U2^2))</f>
        <v>2.5626656081034507</v>
      </c>
      <c r="X7" s="12">
        <f t="shared" si="9"/>
        <v>1.4999981211776925</v>
      </c>
      <c r="Y7" s="7">
        <f t="shared" si="10"/>
        <v>2.4082674299462418E-2</v>
      </c>
      <c r="Z7" s="7">
        <f t="shared" si="11"/>
        <v>5.7997520141398764E-4</v>
      </c>
      <c r="AA7" s="12">
        <f>(C7-$AE$6)*24</f>
        <v>127.23333333333721</v>
      </c>
      <c r="AB7" s="18">
        <f t="shared" si="12"/>
        <v>0.99965049461850619</v>
      </c>
      <c r="AC7" s="12">
        <f t="shared" si="13"/>
        <v>1.5005225618881253</v>
      </c>
    </row>
    <row r="8" spans="1:31" x14ac:dyDescent="0.25">
      <c r="A8" s="29" t="s">
        <v>20</v>
      </c>
      <c r="B8" s="25">
        <v>43327.632985763892</v>
      </c>
      <c r="C8" s="15">
        <v>43331.824305613423</v>
      </c>
      <c r="D8" s="16">
        <v>259.49</v>
      </c>
      <c r="E8" s="6">
        <v>1.1499999999999999</v>
      </c>
      <c r="F8" s="7">
        <f t="shared" si="3"/>
        <v>2.9841350000000002</v>
      </c>
      <c r="G8" s="12">
        <f t="shared" si="0"/>
        <v>252.12</v>
      </c>
      <c r="H8" s="7">
        <f t="shared" si="14"/>
        <v>3.0596033775352325</v>
      </c>
      <c r="I8" s="17">
        <f t="shared" si="4"/>
        <v>100.59167638875078</v>
      </c>
      <c r="J8" s="11">
        <f t="shared" si="5"/>
        <v>1.6666666666666666E-2</v>
      </c>
      <c r="K8" s="12">
        <f>1-EXP(-$AE$3*I8)</f>
        <v>0.67876542596262501</v>
      </c>
      <c r="L8" s="7">
        <f t="shared" si="6"/>
        <v>1.1246215895296675E-4</v>
      </c>
      <c r="M8" s="12">
        <f>G8/((1+K8))</f>
        <v>150.18179198885471</v>
      </c>
      <c r="N8" s="7">
        <f t="shared" si="1"/>
        <v>1.8227016590464744</v>
      </c>
      <c r="O8" s="12">
        <f>M8*K8</f>
        <v>101.93820801114532</v>
      </c>
      <c r="P8" s="7">
        <f t="shared" si="2"/>
        <v>1.2373021501020933</v>
      </c>
      <c r="Q8" s="12">
        <f t="shared" si="7"/>
        <v>252.12000000000003</v>
      </c>
      <c r="R8" s="12">
        <v>0.9032</v>
      </c>
      <c r="S8" s="7">
        <v>1.4142135623730951E-4</v>
      </c>
      <c r="T8" s="12">
        <f>M8/R8</f>
        <v>166.27744905763365</v>
      </c>
      <c r="U8" s="7">
        <f t="shared" si="8"/>
        <v>2.018216719107075</v>
      </c>
      <c r="V8" s="12">
        <f>SUM($T$2:T8)</f>
        <v>334.06159940119272</v>
      </c>
      <c r="W8" s="7">
        <f>SQRT((U8^2)+(U7^2)+(U6^2)+(U5^2)+(U4^2)+(U3^2)+(U2^2))</f>
        <v>3.2619708374293528</v>
      </c>
      <c r="X8" s="12">
        <f t="shared" si="9"/>
        <v>2.5030298664809121</v>
      </c>
      <c r="Y8" s="7">
        <f t="shared" si="10"/>
        <v>3.037836098410791E-2</v>
      </c>
      <c r="Z8" s="7">
        <f t="shared" si="11"/>
        <v>9.2284481608076972E-4</v>
      </c>
      <c r="AA8" s="12">
        <f>(C8-$AE$6)*24</f>
        <v>127.78333472216036</v>
      </c>
      <c r="AB8" s="18">
        <f t="shared" si="12"/>
        <v>0.99964898404970615</v>
      </c>
      <c r="AC8" s="12">
        <f t="shared" si="13"/>
        <v>2.5039087784002114</v>
      </c>
      <c r="AE8" t="s">
        <v>35</v>
      </c>
    </row>
    <row r="9" spans="1:31" x14ac:dyDescent="0.25">
      <c r="A9" s="29" t="s">
        <v>21</v>
      </c>
      <c r="B9" s="26">
        <v>43327.633159317127</v>
      </c>
      <c r="C9" s="15">
        <v>43331.847222337965</v>
      </c>
      <c r="D9" s="16">
        <v>192.3</v>
      </c>
      <c r="E9" s="6">
        <v>1.33</v>
      </c>
      <c r="F9" s="7">
        <f t="shared" si="3"/>
        <v>2.5575900000000003</v>
      </c>
      <c r="G9" s="12">
        <f t="shared" si="0"/>
        <v>184.93</v>
      </c>
      <c r="H9" s="7">
        <f t="shared" si="14"/>
        <v>2.6452557036513507</v>
      </c>
      <c r="I9" s="17">
        <f t="shared" si="4"/>
        <v>101.13751250010682</v>
      </c>
      <c r="J9" s="11">
        <f t="shared" si="5"/>
        <v>1.6666666666666666E-2</v>
      </c>
      <c r="K9" s="12">
        <f>1-EXP(-$AE$3*I9)</f>
        <v>0.68073877663879623</v>
      </c>
      <c r="L9" s="7">
        <f t="shared" si="6"/>
        <v>1.1218039673757338E-4</v>
      </c>
      <c r="M9" s="12">
        <f>G9/((1+K9))</f>
        <v>110.02899592156128</v>
      </c>
      <c r="N9" s="7">
        <f t="shared" si="1"/>
        <v>1.5739693045920322</v>
      </c>
      <c r="O9" s="12">
        <f>M9*K9</f>
        <v>74.901004078438717</v>
      </c>
      <c r="P9" s="7">
        <f t="shared" si="2"/>
        <v>1.0715330319158995</v>
      </c>
      <c r="Q9" s="12">
        <f t="shared" si="7"/>
        <v>184.93</v>
      </c>
      <c r="R9" s="12">
        <v>0.76869999999999994</v>
      </c>
      <c r="S9" s="7">
        <v>1.4142135623730951E-4</v>
      </c>
      <c r="T9" s="12">
        <f>M9/R9</f>
        <v>143.13645885463936</v>
      </c>
      <c r="U9" s="7">
        <f t="shared" si="8"/>
        <v>2.0477422495434321</v>
      </c>
      <c r="V9" s="12">
        <f>SUM($T$2:T9)</f>
        <v>477.19805825583205</v>
      </c>
      <c r="W9" s="7">
        <f>SQRT((U9^2)+(U8^2)+(U7^2)+(U6^2)+(U5^2)+(U4^2)+(U3^2)+(U2^2))</f>
        <v>3.851454538846947</v>
      </c>
      <c r="X9" s="12">
        <f t="shared" si="9"/>
        <v>1.833816598692688</v>
      </c>
      <c r="Y9" s="7">
        <f t="shared" si="10"/>
        <v>2.6232821743200539E-2</v>
      </c>
      <c r="Z9" s="7">
        <f t="shared" si="11"/>
        <v>6.8816093661053495E-4</v>
      </c>
      <c r="AA9" s="12">
        <f>(C9-$AE$6)*24</f>
        <v>128.33333611115813</v>
      </c>
      <c r="AB9" s="18">
        <f t="shared" si="12"/>
        <v>0.99964747348318828</v>
      </c>
      <c r="AC9" s="12">
        <f t="shared" si="13"/>
        <v>1.8344632956485218</v>
      </c>
      <c r="AE9">
        <f>LN(2)/252288</f>
        <v>2.7474441137110973E-6</v>
      </c>
    </row>
    <row r="10" spans="1:31" x14ac:dyDescent="0.25">
      <c r="A10" s="29" t="s">
        <v>22</v>
      </c>
      <c r="B10" s="26">
        <v>43327.633332870369</v>
      </c>
      <c r="C10" s="15">
        <v>43331.869444444441</v>
      </c>
      <c r="D10" s="16">
        <v>147.94</v>
      </c>
      <c r="E10" s="6">
        <v>1.52</v>
      </c>
      <c r="F10" s="7">
        <f t="shared" si="3"/>
        <v>2.248688</v>
      </c>
      <c r="G10" s="12">
        <f t="shared" si="0"/>
        <v>140.57</v>
      </c>
      <c r="H10" s="7">
        <f t="shared" si="14"/>
        <v>2.3479158526114174</v>
      </c>
      <c r="I10" s="17">
        <f t="shared" si="4"/>
        <v>101.66667777771363</v>
      </c>
      <c r="J10" s="11">
        <f t="shared" si="5"/>
        <v>1.6666666666666666E-2</v>
      </c>
      <c r="K10" s="12">
        <f>1-EXP(-$AE$3*I10)</f>
        <v>0.68264028421833189</v>
      </c>
      <c r="L10" s="7">
        <f t="shared" si="6"/>
        <v>1.1190823108414348E-4</v>
      </c>
      <c r="M10" s="12">
        <f>G10/((1+K10))</f>
        <v>83.541325688218379</v>
      </c>
      <c r="N10" s="7">
        <f t="shared" si="1"/>
        <v>1.3954431966198078</v>
      </c>
      <c r="O10" s="12">
        <f>M10*K10</f>
        <v>57.028674311781629</v>
      </c>
      <c r="P10" s="7">
        <f t="shared" si="2"/>
        <v>0.95263161600396629</v>
      </c>
      <c r="Q10" s="12">
        <f t="shared" si="7"/>
        <v>140.57</v>
      </c>
      <c r="R10" s="12">
        <v>0.82969999999999988</v>
      </c>
      <c r="S10" s="7">
        <v>1.4142135623730951E-4</v>
      </c>
      <c r="T10" s="12">
        <f>M10/R10</f>
        <v>100.68859309174206</v>
      </c>
      <c r="U10" s="7">
        <f t="shared" si="8"/>
        <v>1.6819523283883737</v>
      </c>
      <c r="V10" s="12">
        <f>SUM($T$2:T10)</f>
        <v>577.88665134757412</v>
      </c>
      <c r="W10" s="7">
        <f>SQRT((U10^2)+(U9^2)+(U8^2)+(U7^2)+(U6^2)+(U5^2)+(U4^2)+(U3^2)+(U2^2))</f>
        <v>4.2026974313856833</v>
      </c>
      <c r="X10" s="12">
        <f t="shared" si="9"/>
        <v>1.392355428136973</v>
      </c>
      <c r="Y10" s="7">
        <f t="shared" si="10"/>
        <v>2.3257386610330128E-2</v>
      </c>
      <c r="Z10" s="7">
        <f t="shared" si="11"/>
        <v>5.409060319423631E-4</v>
      </c>
      <c r="AA10" s="12">
        <f>(C10-$AE$6)*24</f>
        <v>128.8666666665813</v>
      </c>
      <c r="AB10" s="18">
        <f t="shared" si="12"/>
        <v>0.99964600870492193</v>
      </c>
      <c r="AC10" s="12">
        <f t="shared" si="13"/>
        <v>1.3928484843758047</v>
      </c>
    </row>
    <row r="11" spans="1:31" x14ac:dyDescent="0.25">
      <c r="A11" s="29" t="s">
        <v>23</v>
      </c>
      <c r="B11" s="25">
        <v>43327.633506423612</v>
      </c>
      <c r="C11" s="15">
        <v>43331.892361111109</v>
      </c>
      <c r="D11" s="16">
        <v>96.93</v>
      </c>
      <c r="E11" s="6">
        <v>1.88</v>
      </c>
      <c r="F11" s="7">
        <f t="shared" si="3"/>
        <v>1.8222839999999998</v>
      </c>
      <c r="G11" s="12">
        <f t="shared" si="0"/>
        <v>89.56</v>
      </c>
      <c r="H11" s="7">
        <f t="shared" si="14"/>
        <v>1.9434068298367173</v>
      </c>
      <c r="I11" s="17">
        <f t="shared" si="4"/>
        <v>102.21251249994384</v>
      </c>
      <c r="J11" s="11">
        <f t="shared" si="5"/>
        <v>1.6666666666666666E-2</v>
      </c>
      <c r="K11" s="12">
        <f>1-EXP(-$AE$3*I11)</f>
        <v>0.68458982661333612</v>
      </c>
      <c r="L11" s="7">
        <f t="shared" si="6"/>
        <v>1.116285097048355E-4</v>
      </c>
      <c r="M11" s="12">
        <f>G11/((1+K11))</f>
        <v>53.164276897035251</v>
      </c>
      <c r="N11" s="7">
        <f t="shared" si="1"/>
        <v>1.1536705653517643</v>
      </c>
      <c r="O11" s="12">
        <f>M11*K11</f>
        <v>36.395723102964752</v>
      </c>
      <c r="P11" s="7">
        <f t="shared" si="2"/>
        <v>0.7898134290598755</v>
      </c>
      <c r="Q11" s="12">
        <f t="shared" si="7"/>
        <v>89.56</v>
      </c>
      <c r="R11" s="12">
        <v>0.80349999999999966</v>
      </c>
      <c r="S11" s="7">
        <v>1.4142135623730951E-4</v>
      </c>
      <c r="T11" s="12">
        <f>M11/R11</f>
        <v>66.165870438127286</v>
      </c>
      <c r="U11" s="7">
        <f t="shared" si="8"/>
        <v>1.4358537803318845</v>
      </c>
      <c r="V11" s="12">
        <f>SUM($T$2:T11)</f>
        <v>644.0525217857014</v>
      </c>
      <c r="W11" s="7">
        <f>SQRT((U11^2)+(U10^2)+(U9^2)+(U8^2)+(U7^2)+(U6^2)+(U5^2)+(U4^2)+(U3^2)+(U2^2))</f>
        <v>4.4412094949764738</v>
      </c>
      <c r="X11" s="12">
        <f t="shared" si="9"/>
        <v>0.88607128161725413</v>
      </c>
      <c r="Y11" s="7">
        <f t="shared" si="10"/>
        <v>1.9227842755862735E-2</v>
      </c>
      <c r="Z11" s="7">
        <f t="shared" si="11"/>
        <v>3.697099370441831E-4</v>
      </c>
      <c r="AA11" s="12">
        <f>(C11-$AE$6)*24</f>
        <v>129.41666666662786</v>
      </c>
      <c r="AB11" s="18">
        <f t="shared" si="12"/>
        <v>0.99964449814671474</v>
      </c>
      <c r="AC11" s="12">
        <f t="shared" si="13"/>
        <v>0.88638639362291394</v>
      </c>
    </row>
    <row r="12" spans="1:31" x14ac:dyDescent="0.25">
      <c r="A12" s="29" t="s">
        <v>24</v>
      </c>
      <c r="B12" s="26">
        <v>43327.633679976854</v>
      </c>
      <c r="C12" s="15">
        <v>43331.915277719905</v>
      </c>
      <c r="D12" s="16">
        <v>67.52</v>
      </c>
      <c r="E12" s="6">
        <v>2.25</v>
      </c>
      <c r="F12" s="7">
        <f t="shared" si="3"/>
        <v>1.5191999999999999</v>
      </c>
      <c r="G12" s="12">
        <f t="shared" si="0"/>
        <v>60.15</v>
      </c>
      <c r="H12" s="7">
        <f t="shared" si="14"/>
        <v>1.6625521855268182</v>
      </c>
      <c r="I12" s="17">
        <f t="shared" si="4"/>
        <v>102.75834583322285</v>
      </c>
      <c r="J12" s="11">
        <f t="shared" si="5"/>
        <v>1.6666666666666666E-2</v>
      </c>
      <c r="K12" s="12">
        <f>1-EXP(-$AE$3*I12)</f>
        <v>0.68652738804397639</v>
      </c>
      <c r="L12" s="7">
        <f t="shared" si="6"/>
        <v>1.1134981826816168E-4</v>
      </c>
      <c r="M12" s="12">
        <f>G12/((1+K12))</f>
        <v>35.66500041826275</v>
      </c>
      <c r="N12" s="7">
        <f t="shared" si="1"/>
        <v>0.98580125113732042</v>
      </c>
      <c r="O12" s="12">
        <f>M12*K12</f>
        <v>24.484999581737252</v>
      </c>
      <c r="P12" s="7">
        <f t="shared" si="2"/>
        <v>0.67679120959219186</v>
      </c>
      <c r="Q12" s="12">
        <f t="shared" si="7"/>
        <v>60.150000000000006</v>
      </c>
      <c r="R12" s="12">
        <v>0.86580000000000013</v>
      </c>
      <c r="S12" s="7">
        <v>1.4142135623730951E-4</v>
      </c>
      <c r="T12" s="12">
        <f>M12/R12</f>
        <v>41.193116676210145</v>
      </c>
      <c r="U12" s="7">
        <f t="shared" si="8"/>
        <v>1.1386214646807795</v>
      </c>
      <c r="V12" s="12">
        <f>SUM($T$2:T12)</f>
        <v>685.24563846191154</v>
      </c>
      <c r="W12" s="7">
        <f>SQRT((U12^2)+(U11^2)+(U10^2)+(U9^2)+(U8^2)+(U7^2)+(U6^2)+(U5^2)+(U4^2)+(U3^2)+(U2^2))</f>
        <v>4.5848446667363758</v>
      </c>
      <c r="X12" s="12">
        <f t="shared" si="9"/>
        <v>0.59441667363771244</v>
      </c>
      <c r="Y12" s="7">
        <f t="shared" si="10"/>
        <v>1.6430020852288674E-2</v>
      </c>
      <c r="Z12" s="7">
        <f t="shared" si="11"/>
        <v>2.6994558520664064E-4</v>
      </c>
      <c r="AA12" s="12">
        <f>(C12-$AE$6)*24</f>
        <v>129.96666527772322</v>
      </c>
      <c r="AB12" s="18">
        <f t="shared" si="12"/>
        <v>0.9996429875946049</v>
      </c>
      <c r="AC12" s="12">
        <f t="shared" si="13"/>
        <v>0.59462896355430861</v>
      </c>
    </row>
    <row r="13" spans="1:31" x14ac:dyDescent="0.25">
      <c r="A13" s="29" t="s">
        <v>25</v>
      </c>
      <c r="B13" s="26">
        <v>43327.633853530089</v>
      </c>
      <c r="C13" s="15">
        <v>43331.938194386574</v>
      </c>
      <c r="D13" s="16">
        <v>40.97</v>
      </c>
      <c r="E13" s="6">
        <v>2.89</v>
      </c>
      <c r="F13" s="7">
        <f t="shared" si="3"/>
        <v>1.1840330000000001</v>
      </c>
      <c r="G13" s="12">
        <f t="shared" si="0"/>
        <v>33.6</v>
      </c>
      <c r="H13" s="7">
        <f t="shared" si="14"/>
        <v>1.3631013442473747</v>
      </c>
      <c r="I13" s="17">
        <f t="shared" si="4"/>
        <v>103.30418055562768</v>
      </c>
      <c r="J13" s="11">
        <f t="shared" si="5"/>
        <v>1.6666666666666666E-2</v>
      </c>
      <c r="K13" s="12">
        <f>1-EXP(-$AE$3*I13)</f>
        <v>0.68845305194045003</v>
      </c>
      <c r="L13" s="7">
        <f t="shared" si="6"/>
        <v>1.1107215091031236E-4</v>
      </c>
      <c r="M13" s="12">
        <f>G13/((1+K13))</f>
        <v>19.899872230018651</v>
      </c>
      <c r="N13" s="7">
        <f t="shared" si="1"/>
        <v>0.80731419907038571</v>
      </c>
      <c r="O13" s="12">
        <f>M13*K13</f>
        <v>13.70012776998135</v>
      </c>
      <c r="P13" s="7">
        <f t="shared" si="2"/>
        <v>0.55580231925955204</v>
      </c>
      <c r="Q13" s="12">
        <f t="shared" si="7"/>
        <v>33.6</v>
      </c>
      <c r="R13" s="12">
        <v>0.77850000000000019</v>
      </c>
      <c r="S13" s="7">
        <v>1.4142135623730951E-4</v>
      </c>
      <c r="T13" s="12">
        <f>M13/R13</f>
        <v>25.561814039844119</v>
      </c>
      <c r="U13" s="7">
        <f t="shared" si="8"/>
        <v>1.0370228549922211</v>
      </c>
      <c r="V13" s="12">
        <f>SUM($T$2:T13)</f>
        <v>710.80745250175562</v>
      </c>
      <c r="W13" s="7">
        <f>SQRT((U13^2)+(U12^2)+(U11^2)+(U10^2)+(U9^2)+(U8^2)+(U7^2)+(U6^2)+(U5^2)+(U4^2)+(U3^2)+(U2^2))</f>
        <v>4.7006613385647347</v>
      </c>
      <c r="X13" s="12">
        <f t="shared" si="9"/>
        <v>0.33166453716697752</v>
      </c>
      <c r="Y13" s="7">
        <f t="shared" si="10"/>
        <v>1.3455236651173095E-2</v>
      </c>
      <c r="Z13" s="7">
        <f t="shared" si="11"/>
        <v>1.8104339333907177E-4</v>
      </c>
      <c r="AA13" s="12">
        <f>(C13-$AE$6)*24</f>
        <v>130.51666527776979</v>
      </c>
      <c r="AB13" s="18">
        <f t="shared" si="12"/>
        <v>0.99964147704096296</v>
      </c>
      <c r="AC13" s="12">
        <f t="shared" si="13"/>
        <v>0.33178348916527267</v>
      </c>
    </row>
    <row r="14" spans="1:31" x14ac:dyDescent="0.25">
      <c r="A14" s="29" t="s">
        <v>26</v>
      </c>
      <c r="B14" s="25">
        <v>43327.634027083332</v>
      </c>
      <c r="C14" s="15">
        <v>43331.961111053242</v>
      </c>
      <c r="D14" s="16">
        <v>28.14</v>
      </c>
      <c r="E14" s="6">
        <v>3.48</v>
      </c>
      <c r="F14" s="7">
        <f t="shared" si="3"/>
        <v>0.97927199999999992</v>
      </c>
      <c r="G14" s="12">
        <f t="shared" si="0"/>
        <v>20.77</v>
      </c>
      <c r="H14" s="7">
        <f t="shared" si="14"/>
        <v>1.1895733603204133</v>
      </c>
      <c r="I14" s="17">
        <f t="shared" si="4"/>
        <v>103.85001527785789</v>
      </c>
      <c r="J14" s="11">
        <f t="shared" si="5"/>
        <v>1.6666666666666666E-2</v>
      </c>
      <c r="K14" s="12">
        <f>1-EXP(-$AE$3*I14)</f>
        <v>0.69036688647291511</v>
      </c>
      <c r="L14" s="7">
        <f t="shared" si="6"/>
        <v>1.1079550391748311E-4</v>
      </c>
      <c r="M14" s="12">
        <f>G14/((1+K14))</f>
        <v>12.287273352436674</v>
      </c>
      <c r="N14" s="7">
        <f t="shared" si="1"/>
        <v>0.70373954911082515</v>
      </c>
      <c r="O14" s="12">
        <f>M14*K14</f>
        <v>8.4827266475633252</v>
      </c>
      <c r="P14" s="7">
        <f t="shared" si="2"/>
        <v>0.4858403887669876</v>
      </c>
      <c r="Q14" s="12">
        <f t="shared" si="7"/>
        <v>20.77</v>
      </c>
      <c r="R14" s="12">
        <v>0.83009999999999984</v>
      </c>
      <c r="S14" s="7">
        <v>1.4142135623730951E-4</v>
      </c>
      <c r="T14" s="12">
        <f>M14/R14</f>
        <v>14.802160405296563</v>
      </c>
      <c r="U14" s="7">
        <f t="shared" si="8"/>
        <v>0.84778058369814624</v>
      </c>
      <c r="V14" s="12">
        <f>SUM($T$2:T14)</f>
        <v>725.60961290705222</v>
      </c>
      <c r="W14" s="7">
        <f>SQRT((U14^2)+(U13^2)+(U12^2)+(U11^2)+(U10^2)+(U9^2)+(U8^2)+(U7^2)+(U6^2)+(U5^2)+(U4^2)+(U3^2)+(U2^2))</f>
        <v>4.7764996532997648</v>
      </c>
      <c r="X14" s="12">
        <f t="shared" si="9"/>
        <v>0.20478788920727792</v>
      </c>
      <c r="Y14" s="7">
        <f t="shared" si="10"/>
        <v>1.1728992485180419E-2</v>
      </c>
      <c r="Z14" s="7">
        <f t="shared" si="11"/>
        <v>1.3756926471741873E-4</v>
      </c>
      <c r="AA14" s="12">
        <f>(C14-$AE$6)*24</f>
        <v>131.06666527781636</v>
      </c>
      <c r="AB14" s="18">
        <f t="shared" si="12"/>
        <v>0.99963996648960352</v>
      </c>
      <c r="AC14" s="12">
        <f t="shared" si="13"/>
        <v>0.20486164626492828</v>
      </c>
    </row>
    <row r="15" spans="1:31" x14ac:dyDescent="0.25">
      <c r="A15" s="29" t="s">
        <v>27</v>
      </c>
      <c r="B15" s="26">
        <v>43327.634200636574</v>
      </c>
      <c r="C15" s="15">
        <v>43331.98333333333</v>
      </c>
      <c r="D15" s="16">
        <v>20.57</v>
      </c>
      <c r="E15" s="6">
        <v>4.07</v>
      </c>
      <c r="F15" s="7">
        <f t="shared" si="3"/>
        <v>0.83719900000000003</v>
      </c>
      <c r="G15" s="12">
        <f t="shared" si="0"/>
        <v>13.2</v>
      </c>
      <c r="H15" s="7">
        <f t="shared" si="14"/>
        <v>1.0756455248830816</v>
      </c>
      <c r="I15" s="17">
        <f t="shared" si="4"/>
        <v>104.37918472214369</v>
      </c>
      <c r="J15" s="11">
        <f t="shared" si="5"/>
        <v>1.6666666666666666E-2</v>
      </c>
      <c r="K15" s="12">
        <f>1-EXP(-$AE$3*I15)</f>
        <v>0.69221106387793352</v>
      </c>
      <c r="L15" s="7">
        <f t="shared" si="6"/>
        <v>1.1052827338461403E-4</v>
      </c>
      <c r="M15" s="12">
        <f>G15/((1+K15))</f>
        <v>7.8004453946485794</v>
      </c>
      <c r="N15" s="7">
        <f t="shared" si="1"/>
        <v>0.63564623399174958</v>
      </c>
      <c r="O15" s="12">
        <f>M15*K15</f>
        <v>5.3995546053514198</v>
      </c>
      <c r="P15" s="7">
        <f t="shared" si="2"/>
        <v>0.44000220057880907</v>
      </c>
      <c r="Q15" s="12">
        <f t="shared" si="7"/>
        <v>13.2</v>
      </c>
      <c r="R15" s="12">
        <v>0.80449999999999999</v>
      </c>
      <c r="S15" s="7">
        <v>1.4142135623730951E-4</v>
      </c>
      <c r="T15" s="12">
        <f>M15/R15</f>
        <v>9.6960166496564071</v>
      </c>
      <c r="U15" s="7">
        <f t="shared" si="8"/>
        <v>0.79011524300860858</v>
      </c>
      <c r="V15" s="12">
        <f>SUM($T$2:T15)</f>
        <v>735.3056295567086</v>
      </c>
      <c r="W15" s="7">
        <f>SQRT((U15^2)+(U14^2)+(U13^2)+(U12^2)+(U11^2)+(U10^2)+(U9^2)+(U8^2)+(U7^2)+(U6^2)+(U5^2)+(U4^2)+(U3^2)+(U2^2))</f>
        <v>4.84140796000578</v>
      </c>
      <c r="X15" s="12">
        <f t="shared" si="9"/>
        <v>0.13000742324414299</v>
      </c>
      <c r="Y15" s="7">
        <f t="shared" si="10"/>
        <v>1.0594103899862492E-2</v>
      </c>
      <c r="Z15" s="7">
        <f t="shared" si="11"/>
        <v>1.1223503744108167E-4</v>
      </c>
      <c r="AA15" s="12">
        <f>(C15-$AE$6)*24</f>
        <v>131.59999999991851</v>
      </c>
      <c r="AB15" s="18">
        <f t="shared" si="12"/>
        <v>0.99963850171089363</v>
      </c>
      <c r="AC15" s="12">
        <f t="shared" si="13"/>
        <v>0.13005443770086256</v>
      </c>
    </row>
    <row r="16" spans="1:31" x14ac:dyDescent="0.25">
      <c r="A16" s="29" t="s">
        <v>28</v>
      </c>
      <c r="B16" s="26">
        <v>43327.634374189816</v>
      </c>
      <c r="C16" s="15">
        <v>43332.006249999999</v>
      </c>
      <c r="D16" s="16">
        <v>14.94</v>
      </c>
      <c r="E16" s="6">
        <v>4.78</v>
      </c>
      <c r="F16" s="7">
        <f t="shared" si="3"/>
        <v>0.71413199999999999</v>
      </c>
      <c r="G16" s="12">
        <f t="shared" si="0"/>
        <v>7.5699999999999994</v>
      </c>
      <c r="H16" s="7">
        <f t="shared" si="14"/>
        <v>0.98290164463388707</v>
      </c>
      <c r="I16" s="17">
        <f t="shared" si="4"/>
        <v>104.9250194443739</v>
      </c>
      <c r="J16" s="11">
        <f t="shared" si="5"/>
        <v>1.6666666666666666E-2</v>
      </c>
      <c r="K16" s="12">
        <f>1-EXP(-$AE$3*I16)</f>
        <v>0.69410181292339845</v>
      </c>
      <c r="L16" s="7">
        <f t="shared" si="6"/>
        <v>1.1025362311089478E-4</v>
      </c>
      <c r="M16" s="12">
        <f>G16/((1+K16))</f>
        <v>4.4684445422657069</v>
      </c>
      <c r="N16" s="7">
        <f t="shared" si="1"/>
        <v>0.58019085550219718</v>
      </c>
      <c r="O16" s="12">
        <f>M16*K16</f>
        <v>3.1015554577342925</v>
      </c>
      <c r="P16" s="7">
        <f t="shared" si="2"/>
        <v>0.40271182599778443</v>
      </c>
      <c r="Q16" s="12">
        <f t="shared" si="7"/>
        <v>7.5699999999999994</v>
      </c>
      <c r="R16" s="12">
        <v>0.84169999999999945</v>
      </c>
      <c r="S16" s="7">
        <v>1.4142135623730951E-4</v>
      </c>
      <c r="T16" s="12">
        <f>M16/R16</f>
        <v>5.3088327697109534</v>
      </c>
      <c r="U16" s="7">
        <f t="shared" si="8"/>
        <v>0.68930894768694562</v>
      </c>
      <c r="V16" s="12">
        <f>SUM($T$2:T16)</f>
        <v>740.61446232641958</v>
      </c>
      <c r="W16" s="7">
        <f>SQRT((U16^2)+(U15^2)+(U14^2)+(U13^2)+(U12^2)+(U11^2)+(U10^2)+(U9^2)+(U8^2)+(U7^2)+(U6^2)+(U5^2)+(U4^2)+(U3^2)+(U2^2))</f>
        <v>4.8902329045321151</v>
      </c>
      <c r="X16" s="12">
        <f t="shared" si="9"/>
        <v>7.4474075704428447E-2</v>
      </c>
      <c r="Y16" s="7">
        <f t="shared" si="10"/>
        <v>9.6698475917032858E-3</v>
      </c>
      <c r="Z16" s="7">
        <f t="shared" si="11"/>
        <v>9.3505952446769843E-5</v>
      </c>
      <c r="AA16" s="12">
        <f>(C16-$AE$6)*24</f>
        <v>132.14999999996508</v>
      </c>
      <c r="AB16" s="18">
        <f t="shared" si="12"/>
        <v>0.99963699116403026</v>
      </c>
      <c r="AC16" s="12">
        <f t="shared" si="13"/>
        <v>7.4501120269375873E-2</v>
      </c>
    </row>
    <row r="17" spans="1:29" x14ac:dyDescent="0.25">
      <c r="A17" s="29" t="s">
        <v>29</v>
      </c>
      <c r="B17" s="25">
        <v>43327.634547743059</v>
      </c>
      <c r="C17" s="15">
        <v>43332.029166608794</v>
      </c>
      <c r="D17" s="16">
        <v>13.4</v>
      </c>
      <c r="E17" s="6">
        <v>5.04</v>
      </c>
      <c r="F17" s="7">
        <f t="shared" si="3"/>
        <v>0.67536000000000007</v>
      </c>
      <c r="G17" s="12">
        <f t="shared" si="0"/>
        <v>6.03</v>
      </c>
      <c r="H17" s="7">
        <f t="shared" si="14"/>
        <v>0.95510327148429364</v>
      </c>
      <c r="I17" s="17">
        <f>(C17-B17)*24</f>
        <v>105.47085277765291</v>
      </c>
      <c r="J17" s="11">
        <f t="shared" si="5"/>
        <v>1.6666666666666666E-2</v>
      </c>
      <c r="K17" s="12">
        <f>1-EXP(-$AE$3*I17)</f>
        <v>0.69598094232058449</v>
      </c>
      <c r="L17" s="7">
        <f t="shared" si="6"/>
        <v>1.0997998088119635E-4</v>
      </c>
      <c r="M17" s="12">
        <f>G17/((1+K17))</f>
        <v>3.555464480484813</v>
      </c>
      <c r="N17" s="7">
        <f t="shared" si="1"/>
        <v>0.563157122212817</v>
      </c>
      <c r="O17" s="12">
        <f>M17*K17</f>
        <v>2.4745355195151877</v>
      </c>
      <c r="P17" s="7">
        <f t="shared" si="2"/>
        <v>0.39194681964985173</v>
      </c>
      <c r="Q17" s="12">
        <f t="shared" si="7"/>
        <v>6.0300000000000011</v>
      </c>
      <c r="R17" s="12">
        <v>0.79629999999999956</v>
      </c>
      <c r="S17" s="7">
        <v>1.4142135623731E-4</v>
      </c>
      <c r="T17" s="12">
        <f>M17/R17</f>
        <v>4.4649811383709848</v>
      </c>
      <c r="U17" s="7">
        <f t="shared" si="8"/>
        <v>0.70721772726100007</v>
      </c>
      <c r="V17" s="12">
        <f>SUM($T$2:T17)</f>
        <v>745.07944346479053</v>
      </c>
      <c r="W17" s="7">
        <f>SQRT((U17^2)+(U16^2)+(U15^2)+(U14^2)+(U13^2)+(U12^2)+(U11^2)+(U10^2)+(U9^2)+(U8^2)+(U7^2)+(U6^2)+(U5^2)+(U4^2)+(U3^2)+(U2^2))</f>
        <v>4.9411066345830692</v>
      </c>
      <c r="X17" s="12">
        <f t="shared" si="9"/>
        <v>5.9257741341413553E-2</v>
      </c>
      <c r="Y17" s="7">
        <f>X17*SQRT(((N17/M17)^2))</f>
        <v>9.385952036880283E-3</v>
      </c>
      <c r="Z17" s="7">
        <f>Y17^2</f>
        <v>8.8096095638617134E-5</v>
      </c>
      <c r="AA17" s="12">
        <f>(C17-$AE$6)*24</f>
        <v>132.69999861106044</v>
      </c>
      <c r="AB17" s="18">
        <f t="shared" si="12"/>
        <v>0.99963548062326413</v>
      </c>
      <c r="AC17" s="12">
        <f t="shared" si="13"/>
        <v>5.9279349813060718E-2</v>
      </c>
    </row>
    <row r="18" spans="1:29" x14ac:dyDescent="0.25">
      <c r="A18" s="29" t="s">
        <v>30</v>
      </c>
      <c r="B18" s="26">
        <v>43327.634721296294</v>
      </c>
      <c r="C18" s="15">
        <v>43332.052083275463</v>
      </c>
      <c r="D18" s="16">
        <v>10.4</v>
      </c>
      <c r="E18" s="6">
        <v>5.73</v>
      </c>
      <c r="F18" s="7">
        <f>D18*(E18/100)</f>
        <v>0.59592000000000001</v>
      </c>
      <c r="G18" s="12">
        <f t="shared" si="0"/>
        <v>3.0300000000000002</v>
      </c>
      <c r="H18" s="7">
        <f>SQRT((F18^2)+(F$17^2))</f>
        <v>0.90068406003437196</v>
      </c>
      <c r="I18" s="17">
        <f t="shared" si="4"/>
        <v>106.01668750005774</v>
      </c>
      <c r="J18" s="11">
        <f t="shared" si="5"/>
        <v>1.6666666666666666E-2</v>
      </c>
      <c r="K18" s="12">
        <f>1-EXP(-$AE$3*I18)</f>
        <v>0.69784853298364147</v>
      </c>
      <c r="L18" s="7">
        <f t="shared" si="6"/>
        <v>1.0970734096039697E-4</v>
      </c>
      <c r="M18" s="12">
        <f>G18/((1+K18))</f>
        <v>1.7846114898573193</v>
      </c>
      <c r="N18" s="7">
        <f t="shared" si="1"/>
        <v>0.53048559308841514</v>
      </c>
      <c r="O18" s="12">
        <f>M18*K18</f>
        <v>1.2453885101426811</v>
      </c>
      <c r="P18" s="7">
        <f t="shared" si="2"/>
        <v>0.37019864467759006</v>
      </c>
      <c r="Q18" s="12">
        <f t="shared" si="7"/>
        <v>3.0300000000000002</v>
      </c>
      <c r="R18" s="12">
        <v>0.8398999999999992</v>
      </c>
      <c r="S18" s="7">
        <v>1.4142135623731E-4</v>
      </c>
      <c r="T18" s="12">
        <f>M18/R18</f>
        <v>2.1247904391681405</v>
      </c>
      <c r="U18" s="7">
        <f t="shared" si="8"/>
        <v>0.63160576044065009</v>
      </c>
      <c r="V18" s="12">
        <f>SUM($T$2:T18)</f>
        <v>747.20423390395865</v>
      </c>
      <c r="W18" s="7">
        <f>SQRT((U18^2)+(U17^2)+(U16^2)+(U15^2)+(U14^2)+(U13^2)+(U12^2)+(U11^2)+(U10^2)+(U9^2)+(U8^2)+(U7^2)+(U6^2)+(U5^2)+(U4^2)+(U3^2)+(U2^2))</f>
        <v>4.981311133721988</v>
      </c>
      <c r="X18" s="12">
        <f t="shared" si="9"/>
        <v>2.9743524830955322E-2</v>
      </c>
      <c r="Y18" s="7">
        <f t="shared" ref="Y18:Y22" si="15">X18*SQRT(((N18/M18)^2))</f>
        <v>8.841426551473585E-3</v>
      </c>
      <c r="Z18" s="7">
        <f t="shared" ref="Z18:Z22" si="16">Y18^2</f>
        <v>7.8170823465102088E-5</v>
      </c>
      <c r="AA18" s="12">
        <f>(C18-$AE$6)*24</f>
        <v>133.249998611107</v>
      </c>
      <c r="AB18" s="18">
        <f t="shared" si="12"/>
        <v>0.99963397008096588</v>
      </c>
      <c r="AC18" s="12">
        <f t="shared" si="13"/>
        <v>2.9754415837375182E-2</v>
      </c>
    </row>
    <row r="19" spans="1:29" x14ac:dyDescent="0.25">
      <c r="A19" s="29" t="s">
        <v>31</v>
      </c>
      <c r="B19" s="26">
        <v>43327.634894849536</v>
      </c>
      <c r="C19" s="15">
        <v>43332.074999942131</v>
      </c>
      <c r="D19" s="16">
        <v>9.14</v>
      </c>
      <c r="E19" s="6">
        <v>6.11</v>
      </c>
      <c r="F19" s="7">
        <f t="shared" si="3"/>
        <v>0.55845400000000001</v>
      </c>
      <c r="G19" s="12">
        <f t="shared" si="0"/>
        <v>1.7700000000000005</v>
      </c>
      <c r="H19" s="7">
        <f>SQRT((F19^2)+(F$17^2))</f>
        <v>0.87634582198810085</v>
      </c>
      <c r="I19" s="17">
        <f t="shared" si="4"/>
        <v>106.56252222228795</v>
      </c>
      <c r="J19" s="11">
        <f t="shared" si="5"/>
        <v>1.6666666666666666E-2</v>
      </c>
      <c r="K19" s="12">
        <f>1-EXP(-$AE$3*I19)</f>
        <v>0.69970465102688539</v>
      </c>
      <c r="L19" s="7">
        <f t="shared" si="6"/>
        <v>1.094356997242913E-4</v>
      </c>
      <c r="M19" s="12">
        <f>G19/((1+K19))</f>
        <v>1.0413573904917222</v>
      </c>
      <c r="N19" s="7">
        <f t="shared" si="1"/>
        <v>0.51558714343908063</v>
      </c>
      <c r="O19" s="12">
        <f>M19*K19</f>
        <v>0.72864260950827853</v>
      </c>
      <c r="P19" s="7">
        <f t="shared" si="2"/>
        <v>0.36075874027391991</v>
      </c>
      <c r="Q19" s="12">
        <f t="shared" si="7"/>
        <v>1.7700000000000007</v>
      </c>
      <c r="R19" s="12">
        <v>0.68829999999999991</v>
      </c>
      <c r="S19" s="7">
        <v>1.4142135623731E-4</v>
      </c>
      <c r="T19" s="12">
        <f>M19/R19</f>
        <v>1.5129411455640307</v>
      </c>
      <c r="U19" s="7">
        <f t="shared" si="8"/>
        <v>0.74907335149627963</v>
      </c>
      <c r="V19" s="12">
        <f>SUM($T$2:T19)</f>
        <v>748.71717504952267</v>
      </c>
      <c r="W19" s="7">
        <f>SQRT((U19^2)+(U18^2)+(U17^2)+(U16^2)+(U15^2)+(U14^2)+(U13^2)+(U12^2)+(U11^2)+(U10^2)+(U9^2)+(U8^2)+(U7^2)+(U6^2)+(U5^2)+(U4^2)+(U3^2)+(U2^2))</f>
        <v>5.0373178872158251</v>
      </c>
      <c r="X19" s="12">
        <f t="shared" si="9"/>
        <v>1.735595650819537E-2</v>
      </c>
      <c r="Y19" s="7">
        <f t="shared" si="15"/>
        <v>8.5931190573180112E-3</v>
      </c>
      <c r="Z19" s="7">
        <f t="shared" si="16"/>
        <v>7.3841695133241984E-5</v>
      </c>
      <c r="AA19" s="12">
        <f>(C19-$AE$6)*24</f>
        <v>133.79999861115357</v>
      </c>
      <c r="AB19" s="18">
        <f t="shared" si="12"/>
        <v>0.99963245954095015</v>
      </c>
      <c r="AC19" s="12">
        <f t="shared" si="13"/>
        <v>1.7362337869826223E-2</v>
      </c>
    </row>
    <row r="20" spans="1:29" x14ac:dyDescent="0.25">
      <c r="A20" s="29" t="s">
        <v>32</v>
      </c>
      <c r="B20" s="25">
        <v>43327.635068402778</v>
      </c>
      <c r="C20" s="15">
        <v>43332.097916608793</v>
      </c>
      <c r="D20" s="16">
        <v>9.89</v>
      </c>
      <c r="E20" s="6">
        <v>5.87</v>
      </c>
      <c r="F20" s="7">
        <f t="shared" si="3"/>
        <v>0.58054300000000003</v>
      </c>
      <c r="G20" s="12">
        <f t="shared" si="0"/>
        <v>2.5200000000000005</v>
      </c>
      <c r="H20" s="7">
        <f t="shared" ref="H20:H22" si="17">SQRT((F20^2)+(F$17^2))</f>
        <v>0.89058481036283121</v>
      </c>
      <c r="I20" s="17">
        <f t="shared" si="4"/>
        <v>107.10835694434354</v>
      </c>
      <c r="J20" s="11">
        <f t="shared" si="5"/>
        <v>1.6666666666666666E-2</v>
      </c>
      <c r="K20" s="12">
        <f>1-EXP(-$AE$3*I20)</f>
        <v>0.7015493669266869</v>
      </c>
      <c r="L20" s="7">
        <f t="shared" si="6"/>
        <v>1.0916505287121392E-4</v>
      </c>
      <c r="M20" s="12">
        <f>G20/((1+K20))</f>
        <v>1.4810031662799106</v>
      </c>
      <c r="N20" s="7">
        <f t="shared" si="1"/>
        <v>0.5233964491423343</v>
      </c>
      <c r="O20" s="12">
        <f>M20*K20</f>
        <v>1.0389968337200901</v>
      </c>
      <c r="P20" s="7">
        <f t="shared" si="2"/>
        <v>0.36718848314012092</v>
      </c>
      <c r="Q20" s="12">
        <f t="shared" si="7"/>
        <v>2.5200000000000005</v>
      </c>
      <c r="R20" s="12">
        <v>0.84189999999999987</v>
      </c>
      <c r="S20" s="7">
        <v>1.4142135623731E-4</v>
      </c>
      <c r="T20" s="12">
        <f>M20/R20</f>
        <v>1.759120045468477</v>
      </c>
      <c r="U20" s="7">
        <f t="shared" si="8"/>
        <v>0.62168488925743848</v>
      </c>
      <c r="V20" s="12">
        <f>SUM($T$2:T20)</f>
        <v>750.47629509499109</v>
      </c>
      <c r="W20" s="7">
        <f>SQRT((U20^2)+(U19^2)+(U18^2)+(U17^2)+(U16^2)+(U15^2)+(U14^2)+(U13^2)+(U12^2)+(U11^2)+(U10^2)+(U9^2)+(U8^2)+(U7^2)+(U6^2)+(U5^2)+(U4^2)+(U3^2)+(U2^2))</f>
        <v>5.0755357942187285</v>
      </c>
      <c r="X20" s="12">
        <f t="shared" si="9"/>
        <v>2.4683386104665177E-2</v>
      </c>
      <c r="Y20" s="7">
        <f t="shared" si="15"/>
        <v>8.7232741523722394E-3</v>
      </c>
      <c r="Z20" s="7">
        <f t="shared" si="16"/>
        <v>7.609551193744561E-5</v>
      </c>
      <c r="AA20" s="12">
        <f>(C20-$AE$6)*24</f>
        <v>134.34999861102551</v>
      </c>
      <c r="AB20" s="18">
        <f t="shared" si="12"/>
        <v>0.99963094900321758</v>
      </c>
      <c r="AC20" s="12">
        <f t="shared" si="13"/>
        <v>2.4692498895995792E-2</v>
      </c>
    </row>
    <row r="21" spans="1:29" x14ac:dyDescent="0.25">
      <c r="A21" s="29" t="s">
        <v>33</v>
      </c>
      <c r="B21" s="26">
        <v>43327.635241956021</v>
      </c>
      <c r="C21" s="15">
        <v>43332.120833275461</v>
      </c>
      <c r="D21" s="16">
        <v>8.8000000000000007</v>
      </c>
      <c r="E21" s="6">
        <v>6.23</v>
      </c>
      <c r="F21" s="7">
        <f t="shared" si="3"/>
        <v>0.54824000000000006</v>
      </c>
      <c r="G21" s="12">
        <f t="shared" si="0"/>
        <v>1.4300000000000006</v>
      </c>
      <c r="H21" s="7">
        <f t="shared" si="17"/>
        <v>0.86987253503027673</v>
      </c>
      <c r="I21" s="17">
        <f t="shared" si="4"/>
        <v>107.65419166657375</v>
      </c>
      <c r="J21" s="11">
        <f t="shared" si="5"/>
        <v>1.6666666666666666E-2</v>
      </c>
      <c r="K21" s="12">
        <f>1-EXP(-$AE$3*I21)</f>
        <v>0.70338275072764977</v>
      </c>
      <c r="L21" s="7">
        <f t="shared" si="6"/>
        <v>1.0889539611954369E-4</v>
      </c>
      <c r="M21" s="12">
        <f>G21/((1+K21))</f>
        <v>0.83950597679184802</v>
      </c>
      <c r="N21" s="7">
        <f t="shared" si="1"/>
        <v>0.51067357752153453</v>
      </c>
      <c r="O21" s="12">
        <f>M21*K21</f>
        <v>0.59049402320815259</v>
      </c>
      <c r="P21" s="7">
        <f t="shared" si="2"/>
        <v>0.35919899731428895</v>
      </c>
      <c r="Q21" s="12">
        <f t="shared" si="7"/>
        <v>1.4300000000000006</v>
      </c>
      <c r="R21" s="12">
        <v>0.85660000000000025</v>
      </c>
      <c r="S21" s="7">
        <v>1.4142135623731E-4</v>
      </c>
      <c r="T21" s="12">
        <f>M21/R21</f>
        <v>0.98004433433556826</v>
      </c>
      <c r="U21" s="7">
        <f t="shared" si="8"/>
        <v>0.5961634325586852</v>
      </c>
      <c r="V21" s="12">
        <f>SUM($T$2:T21)</f>
        <v>751.4563394293267</v>
      </c>
      <c r="W21" s="7">
        <f>SQRT((U21^2)+(U20^2)+(U19^2)+(U18^2)+(U17^2)+(U16^2)+(U15^2)+(U14^2)+(U13^2)+(U12^2)+(U11^2)+(U10^2)+(U9^2)+(U8^2)+(U7^2)+(U6^2)+(U5^2)+(U4^2)+(U3^2)+(U2^2))</f>
        <v>5.1104280091510628</v>
      </c>
      <c r="X21" s="12">
        <f t="shared" si="9"/>
        <v>1.3991766279864133E-2</v>
      </c>
      <c r="Y21" s="7">
        <f t="shared" si="15"/>
        <v>8.5112262920255758E-3</v>
      </c>
      <c r="Z21" s="7">
        <f t="shared" si="16"/>
        <v>7.2440972994067428E-5</v>
      </c>
      <c r="AA21" s="12">
        <f>(C21-$AE$6)*24</f>
        <v>134.89999861107208</v>
      </c>
      <c r="AB21" s="18">
        <f t="shared" si="12"/>
        <v>0.99962943846776697</v>
      </c>
      <c r="AC21" s="12">
        <f t="shared" si="13"/>
        <v>1.3996953012218934E-2</v>
      </c>
    </row>
    <row r="22" spans="1:29" ht="15.75" thickBot="1" x14ac:dyDescent="0.3">
      <c r="A22" s="30" t="s">
        <v>11</v>
      </c>
      <c r="B22" s="26">
        <v>43327.631944444445</v>
      </c>
      <c r="C22" s="15">
        <v>43332.14374994213</v>
      </c>
      <c r="D22" s="16">
        <v>7.37</v>
      </c>
      <c r="E22" s="6">
        <v>6.8</v>
      </c>
      <c r="F22" s="7">
        <f t="shared" si="3"/>
        <v>0.50116000000000005</v>
      </c>
      <c r="G22" s="12">
        <f t="shared" si="0"/>
        <v>0</v>
      </c>
      <c r="H22" s="7">
        <f t="shared" si="17"/>
        <v>0.84099493173264728</v>
      </c>
      <c r="I22" s="17">
        <f>(C22-B22)*24</f>
        <v>108.28333194443258</v>
      </c>
      <c r="J22" s="11">
        <f t="shared" si="5"/>
        <v>1.6666666666666666E-2</v>
      </c>
      <c r="K22" s="12">
        <f>1-EXP(-$AE$3*I22)</f>
        <v>0.70548197882693686</v>
      </c>
      <c r="L22" s="7">
        <f t="shared" si="6"/>
        <v>1.0858580696872886E-4</v>
      </c>
      <c r="M22" s="12">
        <f>G22/((1+K22))</f>
        <v>0</v>
      </c>
      <c r="N22" s="7" t="e">
        <f t="shared" si="1"/>
        <v>#DIV/0!</v>
      </c>
      <c r="O22" s="12">
        <f>M22*K22</f>
        <v>0</v>
      </c>
      <c r="P22" s="7" t="e">
        <f t="shared" si="2"/>
        <v>#DIV/0!</v>
      </c>
      <c r="Q22" s="12">
        <f t="shared" si="7"/>
        <v>0</v>
      </c>
      <c r="R22" s="12"/>
      <c r="S22" s="7">
        <v>1.4142135623731E-4</v>
      </c>
      <c r="T22" s="12"/>
      <c r="U22" s="7" t="e">
        <f t="shared" si="8"/>
        <v>#DIV/0!</v>
      </c>
      <c r="V22" s="12"/>
      <c r="W22" s="12"/>
      <c r="X22" s="12"/>
      <c r="Y22" s="7" t="e">
        <f t="shared" si="15"/>
        <v>#DIV/0!</v>
      </c>
      <c r="Z22" s="7" t="e">
        <f t="shared" si="16"/>
        <v>#DIV/0!</v>
      </c>
      <c r="AA22" s="12"/>
      <c r="AB22" s="12"/>
      <c r="AC22" s="12"/>
    </row>
    <row r="23" spans="1:29" x14ac:dyDescent="0.25">
      <c r="Y23" s="13" t="s">
        <v>53</v>
      </c>
      <c r="Z23" s="2"/>
      <c r="AB23" s="2"/>
      <c r="AC23">
        <f>SUM(AC2:AC21)</f>
        <v>10.196401045494994</v>
      </c>
    </row>
    <row r="24" spans="1:29" x14ac:dyDescent="0.25">
      <c r="W24" s="14" t="s">
        <v>54</v>
      </c>
      <c r="X24" s="2">
        <f>SUM(X2:X21)</f>
        <v>10.192802907348224</v>
      </c>
      <c r="Y24" s="14">
        <f>SQRT(SUM(Z2:Z21))</f>
        <v>6.9565541672640008E-2</v>
      </c>
    </row>
    <row r="27" spans="1:29" x14ac:dyDescent="0.25">
      <c r="G27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CT28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2021-06-16T16:33:39Z</dcterms:modified>
</cp:coreProperties>
</file>